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flore\Desktop\"/>
    </mc:Choice>
  </mc:AlternateContent>
  <xr:revisionPtr revIDLastSave="0" documentId="8_{D8184DFE-6E64-4DF0-823C-FA6F2CB487D9}" xr6:coauthVersionLast="43" xr6:coauthVersionMax="43" xr10:uidLastSave="{00000000-0000-0000-0000-000000000000}"/>
  <bookViews>
    <workbookView xWindow="-110" yWindow="-110" windowWidth="27580" windowHeight="17860" xr2:uid="{00000000-000D-0000-FFFF-FFFF00000000}"/>
  </bookViews>
  <sheets>
    <sheet name="Beispiel other me" sheetId="1" r:id="rId1"/>
  </sheets>
  <definedNames>
    <definedName name="FLO_c_Menge_Stückkosten">'Beispiel other me'!$F$22</definedName>
    <definedName name="FLO_c_Projektkosten_Anteil_nai">'Beispiel other me'!$F$23</definedName>
    <definedName name="FLO_i_Anteil_nai">'Beispiel other me'!$F$19</definedName>
    <definedName name="FLO_i_Konkurrrent_Pleite">'Beispiel other me'!$F$20</definedName>
    <definedName name="FLO_i_Kostenwachstum">'Beispiel other me'!$F$16</definedName>
    <definedName name="FLO_i_Menge">'Beispiel other me'!$F$9</definedName>
    <definedName name="FLO_i_Outside">'Beispiel other me'!$F$18</definedName>
    <definedName name="FLO_i_Projektkosten">'Beispiel other me'!$F$14</definedName>
    <definedName name="FLO_i_Störfaktor">'Beispiel other me'!$F$17</definedName>
    <definedName name="FLO_i_Stückkosten">'Beispiel other me'!$F$13</definedName>
    <definedName name="FLO_i_Wachstum">'Beispiel other me'!$F$10</definedName>
    <definedName name="FLO_i_Wachstum_2019">'Beispiel other me'!$F$11</definedName>
    <definedName name="FLO_i_Wachstum_2020">'Beispiel other me'!$F$12</definedName>
    <definedName name="FLO_i_workingcapital">'Beispiel other me'!$F$15</definedName>
    <definedName name="FLO_o_COGS">'Beispiel other me'!$F$46</definedName>
    <definedName name="FLO_o_EBIT">'Beispiel other me'!$F$44</definedName>
    <definedName name="FLO_o_FCF">'Beispiel other me'!$F$45</definedName>
    <definedName name="FLO_o_NPV">'Beispiel other me'!$F$43</definedName>
    <definedName name="FLO_o_OCF">'Beispiel other me'!$F$47</definedName>
    <definedName name="Outputs">'Beispiel other me'!$A$43:$A$47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6" i="1" l="1"/>
  <c r="Q25" i="1" l="1"/>
  <c r="S25" i="1"/>
  <c r="F15" i="1"/>
  <c r="F12" i="1"/>
  <c r="F11" i="1"/>
  <c r="F10" i="1"/>
  <c r="F13" i="1"/>
  <c r="F17" i="1"/>
  <c r="F14" i="1"/>
  <c r="F18" i="1"/>
  <c r="F16" i="1"/>
  <c r="F20" i="1"/>
  <c r="F19" i="1"/>
  <c r="F23" i="1"/>
  <c r="F22" i="1"/>
  <c r="C52" i="1" l="1"/>
  <c r="C51" i="1"/>
  <c r="F9" i="1"/>
  <c r="Q6" i="1" l="1"/>
  <c r="C27" i="1" l="1"/>
  <c r="R17" i="1"/>
  <c r="R10" i="1"/>
  <c r="R18" i="1"/>
  <c r="Q18" i="1"/>
  <c r="R11" i="1"/>
  <c r="S22" i="1"/>
  <c r="Y5" i="1"/>
  <c r="R19" i="1"/>
  <c r="R8" i="1"/>
  <c r="R7" i="1"/>
  <c r="Q17" i="1"/>
  <c r="Q19" i="1"/>
  <c r="R12" i="1"/>
  <c r="F30" i="1" l="1"/>
  <c r="B29" i="1"/>
  <c r="B31" i="1" s="1"/>
  <c r="B36" i="1"/>
  <c r="C30" i="1"/>
  <c r="E30" i="1"/>
  <c r="D30" i="1"/>
  <c r="C28" i="1"/>
  <c r="D27" i="1"/>
  <c r="E27" i="1" s="1"/>
  <c r="F27" i="1" s="1"/>
  <c r="Z5" i="1"/>
  <c r="Y6" i="1"/>
  <c r="B32" i="1" l="1"/>
  <c r="B33" i="1" s="1"/>
  <c r="B35" i="1" s="1"/>
  <c r="F38" i="1"/>
  <c r="C29" i="1"/>
  <c r="B27" i="1"/>
  <c r="Y7" i="1"/>
  <c r="AA5" i="1"/>
  <c r="Z6" i="1"/>
  <c r="AB5" i="1" l="1"/>
  <c r="D29" i="1"/>
  <c r="D28" i="1"/>
  <c r="E28" i="1" s="1"/>
  <c r="F28" i="1" s="1"/>
  <c r="B38" i="1"/>
  <c r="Z7" i="1"/>
  <c r="AA6" i="1"/>
  <c r="Y8" i="1"/>
  <c r="AB6" i="1" l="1"/>
  <c r="E29" i="1"/>
  <c r="C38" i="1"/>
  <c r="Y9" i="1"/>
  <c r="AA7" i="1"/>
  <c r="Z8" i="1"/>
  <c r="AB7" i="1" l="1"/>
  <c r="F29" i="1"/>
  <c r="E38" i="1"/>
  <c r="D38" i="1"/>
  <c r="Y10" i="1"/>
  <c r="Z9" i="1"/>
  <c r="AA8" i="1"/>
  <c r="F46" i="1"/>
  <c r="AB8" i="1" l="1"/>
  <c r="F34" i="1"/>
  <c r="E34" i="1"/>
  <c r="D34" i="1"/>
  <c r="C34" i="1"/>
  <c r="Z10" i="1"/>
  <c r="AA9" i="1"/>
  <c r="Y11" i="1"/>
  <c r="AB9" i="1" l="1"/>
  <c r="C31" i="1"/>
  <c r="D31" i="1"/>
  <c r="D32" i="1" s="1"/>
  <c r="B39" i="1"/>
  <c r="B40" i="1" s="1"/>
  <c r="AA10" i="1"/>
  <c r="Y12" i="1"/>
  <c r="Z11" i="1"/>
  <c r="C32" i="1" l="1"/>
  <c r="C33" i="1" s="1"/>
  <c r="C35" i="1" s="1"/>
  <c r="AB10" i="1"/>
  <c r="D33" i="1"/>
  <c r="D35" i="1" s="1"/>
  <c r="C39" i="1"/>
  <c r="E31" i="1"/>
  <c r="E32" i="1" s="1"/>
  <c r="AA11" i="1"/>
  <c r="Z12" i="1"/>
  <c r="Y13" i="1"/>
  <c r="AB11" i="1" l="1"/>
  <c r="C40" i="1"/>
  <c r="D39" i="1"/>
  <c r="D40" i="1" s="1"/>
  <c r="F31" i="1"/>
  <c r="E33" i="1"/>
  <c r="E35" i="1" s="1"/>
  <c r="Y14" i="1"/>
  <c r="AA12" i="1"/>
  <c r="Z13" i="1"/>
  <c r="F44" i="1"/>
  <c r="F32" i="1" l="1"/>
  <c r="F33" i="1" s="1"/>
  <c r="F35" i="1" s="1"/>
  <c r="AB12" i="1"/>
  <c r="E39" i="1"/>
  <c r="E40" i="1" s="1"/>
  <c r="F39" i="1"/>
  <c r="AA13" i="1"/>
  <c r="Z14" i="1"/>
  <c r="Y15" i="1"/>
  <c r="F47" i="1"/>
  <c r="AB13" i="1" l="1"/>
  <c r="F40" i="1"/>
  <c r="Y16" i="1"/>
  <c r="Z15" i="1"/>
  <c r="AA14" i="1"/>
  <c r="F43" i="1"/>
  <c r="F45" i="1"/>
  <c r="AB14" i="1" l="1"/>
  <c r="AA15" i="1"/>
  <c r="Z16" i="1"/>
  <c r="AB15" i="1" l="1"/>
  <c r="AA16" i="1"/>
  <c r="AB16" i="1" l="1"/>
  <c r="AC15" i="1" s="1"/>
  <c r="AC13" i="1" l="1"/>
  <c r="AC7" i="1"/>
  <c r="AC12" i="1"/>
  <c r="AC6" i="1"/>
  <c r="AC11" i="1"/>
  <c r="AC5" i="1"/>
  <c r="AD5" i="1" s="1"/>
  <c r="AC10" i="1"/>
  <c r="AC16" i="1"/>
  <c r="AC9" i="1"/>
  <c r="AC14" i="1"/>
  <c r="AC8" i="1"/>
  <c r="AG5" i="1"/>
  <c r="AD6" i="1" l="1"/>
  <c r="AE5" i="1"/>
  <c r="AF5" i="1"/>
  <c r="AD7" i="1" l="1"/>
  <c r="AG7" i="1"/>
  <c r="AF6" i="1"/>
  <c r="AG6" i="1"/>
  <c r="AD8" i="1" l="1"/>
  <c r="AF7" i="1"/>
  <c r="AE6" i="1"/>
  <c r="AE7" i="1"/>
  <c r="AD9" i="1" l="1"/>
  <c r="AF8" i="1"/>
  <c r="AG8" i="1"/>
  <c r="AD10" i="1" l="1"/>
  <c r="AE8" i="1"/>
  <c r="AG9" i="1"/>
  <c r="AE9" i="1"/>
  <c r="AF9" i="1"/>
  <c r="AD11" i="1" l="1"/>
  <c r="AG11" i="1"/>
  <c r="AG10" i="1"/>
  <c r="AF10" i="1"/>
  <c r="AD12" i="1" l="1"/>
  <c r="AE11" i="1"/>
  <c r="AE10" i="1"/>
  <c r="AF11" i="1"/>
  <c r="AD13" i="1" l="1"/>
  <c r="AG12" i="1"/>
  <c r="AF12" i="1"/>
  <c r="AG13" i="1"/>
  <c r="AD14" i="1" l="1"/>
  <c r="AE12" i="1"/>
  <c r="AF13" i="1"/>
  <c r="AG14" i="1"/>
  <c r="AD15" i="1" l="1"/>
  <c r="AE13" i="1"/>
  <c r="AF14" i="1"/>
  <c r="AF15" i="1"/>
  <c r="AD16" i="1" l="1"/>
  <c r="AE16" i="1"/>
  <c r="AE14" i="1"/>
  <c r="AG16" i="1"/>
  <c r="AE15" i="1"/>
  <c r="AG15" i="1"/>
  <c r="AF16" i="1"/>
</calcChain>
</file>

<file path=xl/sharedStrings.xml><?xml version="1.0" encoding="utf-8"?>
<sst xmlns="http://schemas.openxmlformats.org/spreadsheetml/2006/main" count="68" uniqueCount="64">
  <si>
    <t>EBIT</t>
  </si>
  <si>
    <t>Operating Cash Flows</t>
  </si>
  <si>
    <t>Level of NOWC</t>
  </si>
  <si>
    <t>After-Tax Salvage</t>
  </si>
  <si>
    <t>NOPAT</t>
  </si>
  <si>
    <t>NPV</t>
  </si>
  <si>
    <t>Menge</t>
  </si>
  <si>
    <t>Projektkosten</t>
  </si>
  <si>
    <t>Working Capital</t>
  </si>
  <si>
    <t>Kostenwachstum</t>
  </si>
  <si>
    <t>FCF</t>
  </si>
  <si>
    <t>COGS</t>
  </si>
  <si>
    <t>Störfaktor</t>
  </si>
  <si>
    <t>OCF</t>
  </si>
  <si>
    <t>Finanzmodell</t>
  </si>
  <si>
    <t>Bekannte Eingaben</t>
  </si>
  <si>
    <t>Diskontsatz</t>
  </si>
  <si>
    <t>Absatzpreis</t>
  </si>
  <si>
    <t>Unbestimme Eingaben</t>
  </si>
  <si>
    <t>Kosten pro Einheit</t>
  </si>
  <si>
    <t>Jahre</t>
  </si>
  <si>
    <t>Defaultkosten</t>
  </si>
  <si>
    <t>Korrelationen</t>
  </si>
  <si>
    <t>Berechnungen</t>
  </si>
  <si>
    <t>Umsätze</t>
  </si>
  <si>
    <t>Kosten</t>
  </si>
  <si>
    <t>Abschreibungen</t>
  </si>
  <si>
    <t>Steuern</t>
  </si>
  <si>
    <t>CAPEX</t>
  </si>
  <si>
    <t>Verändungen des NOWC</t>
  </si>
  <si>
    <t>Projekt Free Cash Flows</t>
  </si>
  <si>
    <t>Ergebnisse</t>
  </si>
  <si>
    <t>Anteil nai der Projektkosten</t>
  </si>
  <si>
    <t>Kor_NAI_Projektkosten</t>
  </si>
  <si>
    <t>Kor_Menge_Stückkosten</t>
  </si>
  <si>
    <t>Wachstum 2019</t>
  </si>
  <si>
    <t>Wachstum Initial</t>
  </si>
  <si>
    <t>Wachstum 2020</t>
  </si>
  <si>
    <t>Histogram</t>
  </si>
  <si>
    <t>Min</t>
  </si>
  <si>
    <t>Max</t>
  </si>
  <si>
    <t>fre</t>
  </si>
  <si>
    <t>fre_c</t>
  </si>
  <si>
    <t>% fre</t>
  </si>
  <si>
    <t>% fre_c</t>
  </si>
  <si>
    <t>worst</t>
  </si>
  <si>
    <t>best</t>
  </si>
  <si>
    <t>real</t>
  </si>
  <si>
    <t>Expected loss</t>
  </si>
  <si>
    <t>CVaR (@1%)</t>
  </si>
  <si>
    <t>Wert bei best case</t>
  </si>
  <si>
    <t>Wert bei worst case</t>
  </si>
  <si>
    <t>Top 3 Treiber</t>
  </si>
  <si>
    <t>Iterationen</t>
  </si>
  <si>
    <t>Statistiken</t>
  </si>
  <si>
    <t>Wert bei real case</t>
  </si>
  <si>
    <t>Variante</t>
  </si>
  <si>
    <t>Zelle</t>
  </si>
  <si>
    <t>Wettbewerb</t>
  </si>
  <si>
    <t>Monopol</t>
  </si>
  <si>
    <t>Wert</t>
  </si>
  <si>
    <t>Szenarien</t>
  </si>
  <si>
    <t>Konkurrent pleite</t>
  </si>
  <si>
    <t>Alle Werte in TCHF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</si>
</sst>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_(&quot;CHF&quot;* #,##0.00_);_(&quot;CHF&quot;* \(#,##0.00\);_(&quot;CHF&quot;* &quot;-&quot;??_);_(@_)"/>
    <numFmt numFmtId="166" formatCode="_ * #,##0_ ;_ * \-#,##0_ ;_ * &quot;-&quot;??_ ;_ @_ "/>
    <numFmt numFmtId="167" formatCode="0.0%"/>
    <numFmt numFmtId="168" formatCode="#.0,,"/>
    <numFmt numFmtId="169" formatCode="#.000,,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u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43">
    <xf numFmtId="0" fontId="0" fillId="0" borderId="0" xfId="0"/>
    <xf numFmtId="0" fontId="2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2" fillId="3" borderId="2" xfId="0" applyFont="1" applyFill="1" applyBorder="1" applyAlignment="1">
      <alignment wrapText="1"/>
    </xf>
    <xf numFmtId="9" fontId="0" fillId="3" borderId="0" xfId="3" applyFont="1" applyFill="1" applyAlignment="1">
      <alignment wrapText="1"/>
    </xf>
    <xf numFmtId="166" fontId="0" fillId="3" borderId="0" xfId="2" applyNumberFormat="1" applyFont="1" applyFill="1" applyAlignment="1">
      <alignment wrapText="1"/>
    </xf>
    <xf numFmtId="0" fontId="0" fillId="2" borderId="0" xfId="0" applyFill="1" applyAlignment="1">
      <alignment wrapText="1"/>
    </xf>
    <xf numFmtId="167" fontId="0" fillId="2" borderId="0" xfId="3" applyNumberFormat="1" applyFont="1" applyFill="1" applyAlignment="1">
      <alignment wrapText="1"/>
    </xf>
    <xf numFmtId="9" fontId="0" fillId="2" borderId="0" xfId="3" applyFont="1" applyFill="1" applyAlignment="1">
      <alignment wrapText="1"/>
    </xf>
    <xf numFmtId="0" fontId="0" fillId="3" borderId="1" xfId="0" applyFill="1" applyBorder="1" applyAlignment="1">
      <alignment wrapText="1"/>
    </xf>
    <xf numFmtId="0" fontId="2" fillId="3" borderId="0" xfId="0" applyFont="1" applyFill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5" fontId="0" fillId="3" borderId="0" xfId="0" applyNumberFormat="1" applyFill="1" applyAlignment="1">
      <alignment wrapText="1"/>
    </xf>
    <xf numFmtId="165" fontId="0" fillId="3" borderId="0" xfId="1" applyNumberFormat="1" applyFont="1" applyFill="1" applyAlignment="1">
      <alignment wrapText="1"/>
    </xf>
    <xf numFmtId="165" fontId="0" fillId="3" borderId="1" xfId="0" applyNumberFormat="1" applyFill="1" applyBorder="1" applyAlignment="1">
      <alignment wrapText="1"/>
    </xf>
    <xf numFmtId="165" fontId="0" fillId="3" borderId="1" xfId="1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6" fillId="3" borderId="0" xfId="0" applyFont="1" applyFill="1" applyAlignment="1">
      <alignment wrapText="1"/>
    </xf>
    <xf numFmtId="165" fontId="6" fillId="3" borderId="0" xfId="1" applyNumberFormat="1" applyFont="1" applyFill="1" applyAlignment="1">
      <alignment wrapText="1"/>
    </xf>
    <xf numFmtId="0" fontId="3" fillId="3" borderId="0" xfId="0" applyFont="1" applyFill="1" applyAlignment="1">
      <alignment wrapText="1"/>
    </xf>
    <xf numFmtId="165" fontId="4" fillId="3" borderId="0" xfId="1" applyNumberFormat="1" applyFont="1" applyFill="1" applyAlignment="1">
      <alignment wrapText="1"/>
    </xf>
    <xf numFmtId="0" fontId="4" fillId="3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44" fontId="0" fillId="4" borderId="0" xfId="0" applyNumberFormat="1" applyFill="1" applyAlignment="1">
      <alignment wrapText="1"/>
    </xf>
    <xf numFmtId="43" fontId="0" fillId="3" borderId="0" xfId="0" applyNumberFormat="1" applyFill="1" applyAlignment="1">
      <alignment wrapText="1"/>
    </xf>
    <xf numFmtId="44" fontId="0" fillId="0" borderId="0" xfId="0" applyNumberFormat="1" applyAlignment="1">
      <alignment wrapText="1"/>
    </xf>
    <xf numFmtId="1" fontId="0" fillId="2" borderId="0" xfId="0" applyNumberFormat="1" applyFill="1" applyAlignment="1">
      <alignment wrapText="1"/>
    </xf>
    <xf numFmtId="0" fontId="0" fillId="0" borderId="0" xfId="0" applyAlignment="1">
      <alignment vertical="center" wrapText="1"/>
    </xf>
    <xf numFmtId="0" fontId="8" fillId="3" borderId="0" xfId="0" applyFont="1" applyFill="1" applyAlignment="1">
      <alignment wrapText="1"/>
    </xf>
    <xf numFmtId="9" fontId="0" fillId="3" borderId="0" xfId="3" applyFont="1" applyFill="1" applyAlignment="1">
      <alignment horizontal="right" wrapText="1"/>
    </xf>
    <xf numFmtId="0" fontId="9" fillId="3" borderId="0" xfId="0" applyFont="1" applyFill="1" applyAlignment="1">
      <alignment wrapText="1"/>
    </xf>
    <xf numFmtId="168" fontId="0" fillId="3" borderId="0" xfId="2" applyNumberFormat="1" applyFont="1" applyFill="1" applyAlignment="1">
      <alignment horizontal="right" wrapText="1"/>
    </xf>
    <xf numFmtId="0" fontId="0" fillId="3" borderId="0" xfId="0" applyFill="1" applyAlignment="1">
      <alignment horizontal="right" wrapText="1"/>
    </xf>
    <xf numFmtId="169" fontId="0" fillId="3" borderId="0" xfId="2" applyNumberFormat="1" applyFont="1" applyFill="1" applyAlignment="1">
      <alignment wrapText="1"/>
    </xf>
    <xf numFmtId="169" fontId="0" fillId="3" borderId="0" xfId="2" applyNumberFormat="1" applyFont="1" applyFill="1" applyAlignment="1">
      <alignment horizontal="right" wrapText="1"/>
    </xf>
    <xf numFmtId="167" fontId="0" fillId="3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2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0" fillId="5" borderId="0" xfId="0" applyFill="1" applyAlignment="1">
      <alignment wrapText="1"/>
    </xf>
    <xf numFmtId="2" fontId="0" fillId="3" borderId="0" xfId="0" applyNumberFormat="1" applyFill="1" applyAlignment="1">
      <alignment horizontal="right" wrapText="1"/>
    </xf>
    <xf numFmtId="0" fontId="0" fillId="3" borderId="0" xfId="0" applyFill="1" applyAlignment="1">
      <alignment horizontal="center" vertical="center" wrapText="1"/>
    </xf>
    <xf numFmtId="167" fontId="0" fillId="3" borderId="0" xfId="3" applyNumberFormat="1" applyFont="1" applyFill="1" applyAlignment="1">
      <alignment wrapText="1"/>
    </xf>
  </cellXfs>
  <cellStyles count="5">
    <cellStyle name="Komma" xfId="2" builtinId="3"/>
    <cellStyle name="Prozent" xfId="3" builtinId="5"/>
    <cellStyle name="Standard" xfId="0" builtinId="0"/>
    <cellStyle name="Standard 2" xfId="4" xr:uid="{F96B3D87-D8E6-4DC2-9E7A-33AD26B12B13}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'Beispiel other me'!$A$40</c:f>
          <c:strCache>
            <c:ptCount val="1"/>
            <c:pt idx="0">
              <c:v>Projekt Free Cash Flows</c:v>
            </c:pt>
          </c:strCache>
        </c:strRef>
      </c:tx>
      <c:overlay val="0"/>
      <c:txPr>
        <a:bodyPr/>
        <a:lstStyle/>
        <a:p>
          <a:pPr>
            <a:defRPr sz="1200"/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'Beispiel other me'!$A$40</c:f>
              <c:strCache>
                <c:ptCount val="1"/>
                <c:pt idx="0">
                  <c:v>Projekt Free Cash Flows</c:v>
                </c:pt>
              </c:strCache>
            </c:strRef>
          </c:tx>
          <c:spPr>
            <a:solidFill>
              <a:srgbClr val="4F81BD"/>
            </a:solidFill>
            <a:effectLst/>
          </c:spPr>
          <c:invertIfNegative val="1"/>
          <c:cat>
            <c:numRef>
              <c:f>'Beispiel other me'!$B$27:$F$27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'Beispiel other me'!$B$40:$F$40</c:f>
              <c:numCache>
                <c:formatCode>_("CHF"* #,##0.00_);_("CHF"* \(#,##0.00\);_("CHF"* "-"??_);_(@_)</c:formatCode>
                <c:ptCount val="5"/>
                <c:pt idx="0">
                  <c:v>-313950</c:v>
                </c:pt>
                <c:pt idx="1">
                  <c:v>194490.33333333334</c:v>
                </c:pt>
                <c:pt idx="2">
                  <c:v>186524.76539516664</c:v>
                </c:pt>
                <c:pt idx="3">
                  <c:v>176833.8867456869</c:v>
                </c:pt>
                <c:pt idx="4">
                  <c:v>212518.50824752968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EE24-4706-9F09-C7F8D0F97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25164664"/>
        <c:axId val="430884680"/>
      </c:barChart>
      <c:catAx>
        <c:axId val="425164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0884680"/>
        <c:crosses val="autoZero"/>
        <c:auto val="1"/>
        <c:lblAlgn val="ctr"/>
        <c:lblOffset val="100"/>
        <c:noMultiLvlLbl val="0"/>
      </c:catAx>
      <c:valAx>
        <c:axId val="430884680"/>
        <c:scaling>
          <c:orientation val="minMax"/>
        </c:scaling>
        <c:delete val="0"/>
        <c:axPos val="l"/>
        <c:numFmt formatCode="_(&quot;CHF&quot;* #,##0.00_);_(&quot;CHF&quot;* \(#,##0.00\);_(&quot;CHF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25164664"/>
        <c:crosses val="autoZero"/>
        <c:crossBetween val="between"/>
        <c:dispUnits>
          <c:builtInUnit val="thousands"/>
          <c:dispUnitsLbl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'Beispiel other me'!$R$4</c:f>
          <c:strCache>
            <c:ptCount val="1"/>
            <c:pt idx="0">
              <c:v>OCF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'Beispiel other me'!$Y$4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FF5D37"/>
            </a:solidFill>
            <a:ln>
              <a:noFill/>
            </a:ln>
            <a:effectLst/>
          </c:spPr>
          <c:invertIfNegative val="0"/>
          <c:cat>
            <c:numRef>
              <c:f>'Beispiel other me'!$Z$5:$Z$16</c:f>
              <c:numCache>
                <c:formatCode>#.000,,</c:formatCode>
                <c:ptCount val="12"/>
                <c:pt idx="0">
                  <c:v>-2103873.7726333332</c:v>
                </c:pt>
                <c:pt idx="1">
                  <c:v>-1708709.5813666666</c:v>
                </c:pt>
                <c:pt idx="2">
                  <c:v>-1313545.3901</c:v>
                </c:pt>
                <c:pt idx="3">
                  <c:v>-918381.19883333333</c:v>
                </c:pt>
                <c:pt idx="4">
                  <c:v>-523217.0075666667</c:v>
                </c:pt>
                <c:pt idx="5">
                  <c:v>-128052.81630000006</c:v>
                </c:pt>
                <c:pt idx="6">
                  <c:v>267111.37496666657</c:v>
                </c:pt>
                <c:pt idx="7">
                  <c:v>662275.5662333332</c:v>
                </c:pt>
                <c:pt idx="8">
                  <c:v>1057439.7574999998</c:v>
                </c:pt>
                <c:pt idx="9">
                  <c:v>1452603.9487666665</c:v>
                </c:pt>
                <c:pt idx="10">
                  <c:v>1847768.1400333331</c:v>
                </c:pt>
                <c:pt idx="11">
                  <c:v>2242932.3312999997</c:v>
                </c:pt>
              </c:numCache>
            </c:numRef>
          </c:cat>
          <c:val>
            <c:numRef>
              <c:f>'Beispiel other me'!$AA$5:$AA$16</c:f>
              <c:numCache>
                <c:formatCode>General</c:formatCode>
                <c:ptCount val="12"/>
                <c:pt idx="0">
                  <c:v>39</c:v>
                </c:pt>
                <c:pt idx="1">
                  <c:v>113.00000000000001</c:v>
                </c:pt>
                <c:pt idx="2">
                  <c:v>5748</c:v>
                </c:pt>
                <c:pt idx="3">
                  <c:v>26320</c:v>
                </c:pt>
                <c:pt idx="4">
                  <c:v>1014.0000000000038</c:v>
                </c:pt>
                <c:pt idx="5">
                  <c:v>0</c:v>
                </c:pt>
                <c:pt idx="6">
                  <c:v>672.99999999999579</c:v>
                </c:pt>
                <c:pt idx="7">
                  <c:v>38260.000000000007</c:v>
                </c:pt>
                <c:pt idx="8">
                  <c:v>25637</c:v>
                </c:pt>
                <c:pt idx="9">
                  <c:v>2040.9999999999927</c:v>
                </c:pt>
                <c:pt idx="10">
                  <c:v>75.000000000002842</c:v>
                </c:pt>
                <c:pt idx="11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00-472C-97BD-9EEFBB72B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7"/>
        <c:axId val="607721616"/>
        <c:axId val="607691680"/>
      </c:barChart>
      <c:barChart>
        <c:barDir val="col"/>
        <c:grouping val="clustered"/>
        <c:varyColors val="0"/>
        <c:ser>
          <c:idx val="2"/>
          <c:order val="2"/>
          <c:tx>
            <c:v>worst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'Beispiel other me'!$AE$5:$AE$16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38260.000000000007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00-472C-97BD-9EEFBB72B0E4}"/>
            </c:ext>
          </c:extLst>
        </c:ser>
        <c:ser>
          <c:idx val="3"/>
          <c:order val="3"/>
          <c:tx>
            <c:v>best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'Beispiel other me'!$AF$5:$AF$16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38260.000000000007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00-472C-97BD-9EEFBB72B0E4}"/>
            </c:ext>
          </c:extLst>
        </c:ser>
        <c:ser>
          <c:idx val="4"/>
          <c:order val="4"/>
          <c:tx>
            <c:v>real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'Beispiel other me'!$AG$5:$AG$16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38260.000000000007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00-472C-97BD-9EEFBB72B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809122288"/>
        <c:axId val="607692512"/>
      </c:barChart>
      <c:lineChart>
        <c:grouping val="standard"/>
        <c:varyColors val="0"/>
        <c:ser>
          <c:idx val="1"/>
          <c:order val="1"/>
          <c:tx>
            <c:strRef>
              <c:f>'Beispiel other me'!$AD$4</c:f>
              <c:strCache>
                <c:ptCount val="1"/>
                <c:pt idx="0">
                  <c:v>% fre_c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'Beispiel other me'!$AD$5:$AD$16</c:f>
              <c:numCache>
                <c:formatCode>0.0%</c:formatCode>
                <c:ptCount val="12"/>
                <c:pt idx="0">
                  <c:v>3.8999999999999999E-4</c:v>
                </c:pt>
                <c:pt idx="1">
                  <c:v>1.5200000000000001E-3</c:v>
                </c:pt>
                <c:pt idx="2">
                  <c:v>5.9000000000000004E-2</c:v>
                </c:pt>
                <c:pt idx="3">
                  <c:v>0.32219999999999999</c:v>
                </c:pt>
                <c:pt idx="4">
                  <c:v>0.33234000000000002</c:v>
                </c:pt>
                <c:pt idx="5">
                  <c:v>0.33234000000000002</c:v>
                </c:pt>
                <c:pt idx="6">
                  <c:v>0.33906999999999998</c:v>
                </c:pt>
                <c:pt idx="7">
                  <c:v>0.72167000000000003</c:v>
                </c:pt>
                <c:pt idx="8">
                  <c:v>0.97804000000000002</c:v>
                </c:pt>
                <c:pt idx="9">
                  <c:v>0.99844999999999995</c:v>
                </c:pt>
                <c:pt idx="10">
                  <c:v>0.99919999999999998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00-472C-97BD-9EEFBB72B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9122288"/>
        <c:axId val="607692512"/>
      </c:lineChart>
      <c:catAx>
        <c:axId val="607721616"/>
        <c:scaling>
          <c:orientation val="minMax"/>
        </c:scaling>
        <c:delete val="0"/>
        <c:axPos val="b"/>
        <c:numFmt formatCode="#.0,,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7691680"/>
        <c:crosses val="autoZero"/>
        <c:auto val="1"/>
        <c:lblAlgn val="ctr"/>
        <c:lblOffset val="100"/>
        <c:noMultiLvlLbl val="0"/>
      </c:catAx>
      <c:valAx>
        <c:axId val="607691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7721616"/>
        <c:crosses val="autoZero"/>
        <c:crossBetween val="between"/>
      </c:valAx>
      <c:valAx>
        <c:axId val="607692512"/>
        <c:scaling>
          <c:orientation val="minMax"/>
          <c:max val="1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09122288"/>
        <c:crosses val="max"/>
        <c:crossBetween val="between"/>
      </c:valAx>
      <c:catAx>
        <c:axId val="1809122288"/>
        <c:scaling>
          <c:orientation val="minMax"/>
        </c:scaling>
        <c:delete val="1"/>
        <c:axPos val="b"/>
        <c:majorTickMark val="out"/>
        <c:minorTickMark val="none"/>
        <c:tickLblPos val="nextTo"/>
        <c:crossAx val="6076925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23</xdr:row>
      <xdr:rowOff>102395</xdr:rowOff>
    </xdr:from>
    <xdr:to>
      <xdr:col>15</xdr:col>
      <xdr:colOff>261937</xdr:colOff>
      <xdr:row>41</xdr:row>
      <xdr:rowOff>152137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14</xdr:col>
      <xdr:colOff>494111</xdr:colOff>
      <xdr:row>21</xdr:row>
      <xdr:rowOff>32147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1F5494C4-D971-48AC-A113-2754A736E2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A1:AG52"/>
  <sheetViews>
    <sheetView showRowColHeaders="0" tabSelected="1" zoomScale="80" zoomScaleNormal="80" workbookViewId="0">
      <selection activeCell="I46" sqref="I46"/>
    </sheetView>
  </sheetViews>
  <sheetFormatPr baseColWidth="10" defaultColWidth="9.08984375" defaultRowHeight="14.5" x14ac:dyDescent="0.35"/>
  <cols>
    <col min="1" max="1" width="30.6328125" style="2" customWidth="1"/>
    <col min="2" max="2" width="18" style="2" customWidth="1"/>
    <col min="3" max="3" width="18.08984375" style="2" customWidth="1"/>
    <col min="4" max="4" width="17.6328125" style="2" customWidth="1"/>
    <col min="5" max="6" width="18.08984375" style="2" customWidth="1"/>
    <col min="7" max="9" width="9.08984375" style="2"/>
    <col min="10" max="10" width="19.08984375" style="2" bestFit="1" customWidth="1"/>
    <col min="11" max="13" width="9.08984375" style="2"/>
    <col min="14" max="14" width="16.36328125" style="2" bestFit="1" customWidth="1"/>
    <col min="15" max="16" width="9.08984375" style="2"/>
    <col min="17" max="17" width="27" style="2" customWidth="1"/>
    <col min="18" max="18" width="37" style="2" customWidth="1"/>
    <col min="19" max="24" width="9.08984375" style="2"/>
    <col min="25" max="26" width="13.54296875" style="2" bestFit="1" customWidth="1"/>
    <col min="27" max="16384" width="9.08984375" style="2"/>
  </cols>
  <sheetData>
    <row r="1" spans="1:33" x14ac:dyDescent="0.35">
      <c r="A1" s="1" t="s">
        <v>14</v>
      </c>
      <c r="E1" s="2" t="s">
        <v>56</v>
      </c>
      <c r="F1" s="2">
        <v>1</v>
      </c>
    </row>
    <row r="2" spans="1:33" x14ac:dyDescent="0.35">
      <c r="Y2" s="2" t="s">
        <v>38</v>
      </c>
      <c r="Z2" s="2">
        <v>12</v>
      </c>
    </row>
    <row r="3" spans="1:33" x14ac:dyDescent="0.35">
      <c r="A3" s="3" t="s">
        <v>15</v>
      </c>
      <c r="B3" s="3"/>
      <c r="C3" s="3"/>
      <c r="D3" s="3"/>
      <c r="E3" s="3"/>
      <c r="F3" s="3"/>
    </row>
    <row r="4" spans="1:33" x14ac:dyDescent="0.35">
      <c r="A4" s="2" t="s">
        <v>16</v>
      </c>
      <c r="F4" s="4">
        <v>0.05</v>
      </c>
      <c r="Q4" s="28" t="s">
        <v>54</v>
      </c>
      <c r="R4" s="32" t="s">
        <v>13</v>
      </c>
      <c r="Y4" s="2" t="s">
        <v>39</v>
      </c>
      <c r="Z4" s="2" t="s">
        <v>40</v>
      </c>
      <c r="AA4" s="2" t="s">
        <v>41</v>
      </c>
      <c r="AB4" s="2" t="s">
        <v>42</v>
      </c>
      <c r="AC4" s="2" t="s">
        <v>43</v>
      </c>
      <c r="AD4" s="2" t="s">
        <v>44</v>
      </c>
      <c r="AE4" s="2" t="s">
        <v>45</v>
      </c>
      <c r="AF4" s="2" t="s">
        <v>46</v>
      </c>
      <c r="AG4" s="2" t="s">
        <v>47</v>
      </c>
    </row>
    <row r="5" spans="1:33" x14ac:dyDescent="0.35">
      <c r="A5" s="2" t="s">
        <v>17</v>
      </c>
      <c r="F5" s="2">
        <v>200</v>
      </c>
      <c r="Y5" s="33">
        <f ca="1">_xll.fMC_Min($R$4)</f>
        <v>-2499037.9638999999</v>
      </c>
      <c r="Z5" s="33">
        <f ca="1">(_xll.fMC_Max($R$4)-_xll.fMC_Min($R$4))/$Z$2+Y5</f>
        <v>-2103873.7726333332</v>
      </c>
      <c r="AA5" s="2">
        <f ca="1">(_xll.fMC_PercentileValue($R$4,Z5))*_xll.fMC_Iterations()</f>
        <v>39</v>
      </c>
      <c r="AB5" s="2">
        <f ca="1">AA5</f>
        <v>39</v>
      </c>
      <c r="AC5" s="4">
        <f t="shared" ref="AC5:AC16" ca="1" si="0">AA5/$AB$16</f>
        <v>3.8999999999999999E-4</v>
      </c>
      <c r="AD5" s="35">
        <f ca="1">AC5</f>
        <v>3.8999999999999999E-4</v>
      </c>
      <c r="AE5" s="2">
        <f ca="1">IF(AND(AD5&lt;_xll.fMC_Worst(),AD6&gt;=_xll.fMC_Worst()),MAX($AA$5:$AA$16),0)</f>
        <v>0</v>
      </c>
      <c r="AF5" s="2">
        <f ca="1">IF(AND(AD4&lt;_xll.fMC_Best(),AD5&gt;=_xll.fMC_Best()),MAX($AA$5:$AA$16),0)</f>
        <v>0</v>
      </c>
      <c r="AG5" s="2">
        <f ca="1">IF(AND(AD4&lt;_xll.fMC_Real(),AD5&gt;=_xll.fMC_Real()),MAX($AA$5:$AA$16),0)</f>
        <v>0</v>
      </c>
    </row>
    <row r="6" spans="1:33" x14ac:dyDescent="0.35">
      <c r="Q6" s="2" t="str">
        <f>"Sicherheit, dass " &amp;R4&amp;"  &lt;=0"</f>
        <v>Sicherheit, dass OCF  &lt;=0</v>
      </c>
      <c r="R6" s="29">
        <f ca="1">_xll.fMC_PercentileValue(R4,0)</f>
        <v>0.33234000000000002</v>
      </c>
      <c r="Y6" s="33">
        <f ca="1">(_xll.fMC_Max($R$4)-_xll.fMC_Min($R$4))/$Z$2+Y5</f>
        <v>-2103873.7726333332</v>
      </c>
      <c r="Z6" s="33">
        <f ca="1">(_xll.fMC_Max($R$4)-_xll.fMC_Min($R$4))/$Z$2+Y6</f>
        <v>-1708709.5813666666</v>
      </c>
      <c r="AA6" s="2">
        <f ca="1">(_xll.fMC_PercentileValue($R$4,Z6)-_xll.fMC_PercentileValue($R$4,Y6))*_xll.fMC_Iterations()</f>
        <v>113.00000000000001</v>
      </c>
      <c r="AB6" s="2">
        <f ca="1">AA6+AB5</f>
        <v>152</v>
      </c>
      <c r="AC6" s="4">
        <f t="shared" ca="1" si="0"/>
        <v>1.1300000000000001E-3</v>
      </c>
      <c r="AD6" s="35">
        <f ca="1">(AD5+AC6)</f>
        <v>1.5200000000000001E-3</v>
      </c>
      <c r="AE6" s="2">
        <f ca="1">IF(AND(AD6&lt;_xll.fMC_Worst(),AD7&gt;=_xll.fMC_Worst()),MAX($AA$5:$AA$16),0)</f>
        <v>0</v>
      </c>
      <c r="AF6" s="2">
        <f ca="1">IF(AND(AD5&lt;_xll.fMC_Best(),AD6&gt;=_xll.fMC_Best()),MAX($AA$5:$AA$16),0)</f>
        <v>0</v>
      </c>
      <c r="AG6" s="2">
        <f ca="1">IF(AND(AD5&lt;_xll.fMC_Real(),AD6&gt;=_xll.fMC_Real()),MAX($AA$5:$AA$16),0)</f>
        <v>0</v>
      </c>
    </row>
    <row r="7" spans="1:33" x14ac:dyDescent="0.35">
      <c r="B7" s="5"/>
      <c r="Q7" s="2" t="s">
        <v>48</v>
      </c>
      <c r="R7" s="31">
        <f ca="1">_xll.fMC_ExpLoss(R4)</f>
        <v>-1176249.6996540977</v>
      </c>
      <c r="Y7" s="33">
        <f ca="1">(_xll.fMC_Max($R$4)-_xll.fMC_Min($R$4))/$Z$2+Y6</f>
        <v>-1708709.5813666666</v>
      </c>
      <c r="Z7" s="33">
        <f ca="1">(_xll.fMC_Max($R$4)-_xll.fMC_Min($R$4))/$Z$2+Y7</f>
        <v>-1313545.3901</v>
      </c>
      <c r="AA7" s="2">
        <f ca="1">(_xll.fMC_PercentileValue($R$4,Z7)-_xll.fMC_PercentileValue($R$4,Y7))*_xll.fMC_Iterations()</f>
        <v>5748</v>
      </c>
      <c r="AB7" s="2">
        <f t="shared" ref="AB7:AB16" ca="1" si="1">AA7+AB6</f>
        <v>5900</v>
      </c>
      <c r="AC7" s="4">
        <f t="shared" ca="1" si="0"/>
        <v>5.7480000000000003E-2</v>
      </c>
      <c r="AD7" s="35">
        <f t="shared" ref="AD7:AD16" ca="1" si="2">AD6+AC7</f>
        <v>5.9000000000000004E-2</v>
      </c>
      <c r="AE7" s="2">
        <f ca="1">IF(AND(AD7&lt;_xll.fMC_Worst(),AD8&gt;=_xll.fMC_Worst()),MAX($AA$5:$AA$16),0)</f>
        <v>38260.000000000007</v>
      </c>
      <c r="AF7" s="2">
        <f ca="1">IF(AND(AD6&lt;_xll.fMC_Best(),AD7&gt;=_xll.fMC_Best()),MAX($AA$5:$AA$16),0)</f>
        <v>0</v>
      </c>
      <c r="AG7" s="2">
        <f ca="1">IF(AND(AD6&lt;_xll.fMC_Real(),AD7&gt;=_xll.fMC_Real()),MAX($AA$5:$AA$16),0)</f>
        <v>0</v>
      </c>
    </row>
    <row r="8" spans="1:33" x14ac:dyDescent="0.35">
      <c r="A8" s="3" t="s">
        <v>18</v>
      </c>
      <c r="B8" s="3"/>
      <c r="C8" s="3"/>
      <c r="D8" s="3"/>
      <c r="E8" s="3"/>
      <c r="F8" s="3"/>
      <c r="Q8" s="2" t="s">
        <v>49</v>
      </c>
      <c r="R8" s="31">
        <f ca="1">_xll.fMC_ExpectedShortfall(R4,0.01)</f>
        <v>-1625857.304126499</v>
      </c>
      <c r="Y8" s="33">
        <f ca="1">(_xll.fMC_Max($R$4)-_xll.fMC_Min($R$4))/$Z$2+Y7</f>
        <v>-1313545.3901</v>
      </c>
      <c r="Z8" s="33">
        <f ca="1">(_xll.fMC_Max($R$4)-_xll.fMC_Min($R$4))/$Z$2+Y8</f>
        <v>-918381.19883333333</v>
      </c>
      <c r="AA8" s="2">
        <f ca="1">(_xll.fMC_PercentileValue($R$4,Z8)-_xll.fMC_PercentileValue($R$4,Y8))*_xll.fMC_Iterations()</f>
        <v>26320</v>
      </c>
      <c r="AB8" s="2">
        <f t="shared" ca="1" si="1"/>
        <v>32220</v>
      </c>
      <c r="AC8" s="4">
        <f t="shared" ca="1" si="0"/>
        <v>0.26319999999999999</v>
      </c>
      <c r="AD8" s="35">
        <f t="shared" ca="1" si="2"/>
        <v>0.32219999999999999</v>
      </c>
      <c r="AE8" s="2">
        <f ca="1">IF(AND(AD8&lt;_xll.fMC_Worst(),AD9&gt;=_xll.fMC_Worst()),MAX($AA$5:$AA$16),0)</f>
        <v>0</v>
      </c>
      <c r="AF8" s="2">
        <f ca="1">IF(AND(AD7&lt;_xll.fMC_Best(),AD8&gt;=_xll.fMC_Best()),MAX($AA$5:$AA$16),0)</f>
        <v>0</v>
      </c>
      <c r="AG8" s="2">
        <f ca="1">IF(AND(AD7&lt;_xll.fMC_Real(),AD8&gt;=_xll.fMC_Real()),MAX($AA$5:$AA$16),0)</f>
        <v>0</v>
      </c>
    </row>
    <row r="9" spans="1:33" x14ac:dyDescent="0.35">
      <c r="A9" s="2" t="s">
        <v>6</v>
      </c>
      <c r="F9" s="6">
        <f ca="1">_xll.FLOsimula_DiscreteUniform(900,IF(FLO_i_Konkurrrent_Pleite=0,1600,3200),"Menge")</f>
        <v>2050</v>
      </c>
      <c r="R9" s="31"/>
      <c r="Y9" s="33">
        <f ca="1">(_xll.fMC_Max($R$4)-_xll.fMC_Min($R$4))/$Z$2+Y8</f>
        <v>-918381.19883333333</v>
      </c>
      <c r="Z9" s="33">
        <f ca="1">(_xll.fMC_Max($R$4)-_xll.fMC_Min($R$4))/$Z$2+Y9</f>
        <v>-523217.0075666667</v>
      </c>
      <c r="AA9" s="2">
        <f ca="1">(_xll.fMC_PercentileValue($R$4,Z9)-_xll.fMC_PercentileValue($R$4,Y9))*_xll.fMC_Iterations()</f>
        <v>1014.0000000000038</v>
      </c>
      <c r="AB9" s="2">
        <f t="shared" ca="1" si="1"/>
        <v>33234.000000000007</v>
      </c>
      <c r="AC9" s="4">
        <f t="shared" ca="1" si="0"/>
        <v>1.0140000000000038E-2</v>
      </c>
      <c r="AD9" s="35">
        <f t="shared" ca="1" si="2"/>
        <v>0.33234000000000002</v>
      </c>
      <c r="AE9" s="2">
        <f ca="1">IF(AND(AD9&lt;_xll.fMC_Worst(),AD10&gt;=_xll.fMC_Worst()),MAX($AA$5:$AA$16),0)</f>
        <v>0</v>
      </c>
      <c r="AF9" s="2">
        <f ca="1">IF(AND(AD8&lt;_xll.fMC_Best(),AD9&gt;=_xll.fMC_Best()),MAX($AA$5:$AA$16),0)</f>
        <v>0</v>
      </c>
      <c r="AG9" s="2">
        <f ca="1">IF(AND(AD8&lt;_xll.fMC_Real(),AD9&gt;=_xll.fMC_Real()),MAX($AA$5:$AA$16),0)</f>
        <v>0</v>
      </c>
    </row>
    <row r="10" spans="1:33" x14ac:dyDescent="0.35">
      <c r="A10" s="2" t="s">
        <v>36</v>
      </c>
      <c r="F10" s="7">
        <f ca="1">_xll.FLOsimula_Triangular(-0.03,0.03,0.02,"Wachstum")</f>
        <v>6.6666666666666671E-3</v>
      </c>
      <c r="Q10" s="2" t="s">
        <v>50</v>
      </c>
      <c r="R10" s="31">
        <f ca="1">_xll.fMC_Percentile(R4,_xll.fMC_Best())</f>
        <v>771785.18420000002</v>
      </c>
      <c r="Y10" s="33">
        <f ca="1">(_xll.fMC_Max($R$4)-_xll.fMC_Min($R$4))/$Z$2+Y9</f>
        <v>-523217.0075666667</v>
      </c>
      <c r="Z10" s="33">
        <f ca="1">(_xll.fMC_Max($R$4)-_xll.fMC_Min($R$4))/$Z$2+Y10</f>
        <v>-128052.81630000006</v>
      </c>
      <c r="AA10" s="2">
        <f ca="1">(_xll.fMC_PercentileValue($R$4,Z10)-_xll.fMC_PercentileValue($R$4,Y10))*_xll.fMC_Iterations()</f>
        <v>0</v>
      </c>
      <c r="AB10" s="2">
        <f t="shared" ca="1" si="1"/>
        <v>33234.000000000007</v>
      </c>
      <c r="AC10" s="4">
        <f t="shared" ca="1" si="0"/>
        <v>0</v>
      </c>
      <c r="AD10" s="35">
        <f t="shared" ca="1" si="2"/>
        <v>0.33234000000000002</v>
      </c>
      <c r="AE10" s="2">
        <f ca="1">IF(AND(AD10&lt;_xll.fMC_Worst(),AD11&gt;=_xll.fMC_Worst()),MAX($AA$5:$AA$16),0)</f>
        <v>0</v>
      </c>
      <c r="AF10" s="2">
        <f ca="1">IF(AND(AD9&lt;_xll.fMC_Best(),AD10&gt;=_xll.fMC_Best()),MAX($AA$5:$AA$16),0)</f>
        <v>0</v>
      </c>
      <c r="AG10" s="2">
        <f ca="1">IF(AND(AD9&lt;_xll.fMC_Real(),AD10&gt;=_xll.fMC_Real()),MAX($AA$5:$AA$16),0)</f>
        <v>0</v>
      </c>
    </row>
    <row r="11" spans="1:33" x14ac:dyDescent="0.35">
      <c r="A11" s="2" t="s">
        <v>35</v>
      </c>
      <c r="F11" s="7">
        <f ca="1">_xll.FLOsimula_Uniforme(-0.02,0.030001,"Wachstum_2019")</f>
        <v>5.0005000000000015E-3</v>
      </c>
      <c r="Q11" s="2" t="s">
        <v>55</v>
      </c>
      <c r="R11" s="31">
        <f ca="1">_xll.fMC_Percentile(R4,_xll.fMC_Real())</f>
        <v>446948.39689999999</v>
      </c>
      <c r="Y11" s="33">
        <f ca="1">(_xll.fMC_Max($R$4)-_xll.fMC_Min($R$4))/$Z$2+Y10</f>
        <v>-128052.81630000006</v>
      </c>
      <c r="Z11" s="33">
        <f ca="1">(_xll.fMC_Max($R$4)-_xll.fMC_Min($R$4))/$Z$2+Y11</f>
        <v>267111.37496666657</v>
      </c>
      <c r="AA11" s="2">
        <f ca="1">(_xll.fMC_PercentileValue($R$4,Z11)-_xll.fMC_PercentileValue($R$4,Y11))*_xll.fMC_Iterations()</f>
        <v>672.99999999999579</v>
      </c>
      <c r="AB11" s="2">
        <f t="shared" ca="1" si="1"/>
        <v>33907</v>
      </c>
      <c r="AC11" s="4">
        <f t="shared" ca="1" si="0"/>
        <v>6.7299999999999582E-3</v>
      </c>
      <c r="AD11" s="35">
        <f t="shared" ca="1" si="2"/>
        <v>0.33906999999999998</v>
      </c>
      <c r="AE11" s="2">
        <f ca="1">IF(AND(AD11&lt;_xll.fMC_Worst(),AD12&gt;=_xll.fMC_Worst()),MAX($AA$5:$AA$16),0)</f>
        <v>0</v>
      </c>
      <c r="AF11" s="2">
        <f ca="1">IF(AND(AD10&lt;_xll.fMC_Best(),AD11&gt;=_xll.fMC_Best()),MAX($AA$5:$AA$16),0)</f>
        <v>0</v>
      </c>
      <c r="AG11" s="2">
        <f ca="1">IF(AND(AD10&lt;_xll.fMC_Real(),AD11&gt;=_xll.fMC_Real()),MAX($AA$5:$AA$16),0)</f>
        <v>0</v>
      </c>
    </row>
    <row r="12" spans="1:33" x14ac:dyDescent="0.35">
      <c r="A12" s="2" t="s">
        <v>37</v>
      </c>
      <c r="E12" s="36"/>
      <c r="F12" s="7">
        <f ca="1">_xll.FLOsimula_Uniforme(-0.002,0.035,"Wachstum_2020")</f>
        <v>1.6500000000000001E-2</v>
      </c>
      <c r="Q12" s="2" t="s">
        <v>51</v>
      </c>
      <c r="R12" s="31">
        <f ca="1">_xll.fMC_Percentile(R4,_xll.fMC_Worst())</f>
        <v>-1123510.5061999999</v>
      </c>
      <c r="Y12" s="33">
        <f ca="1">(_xll.fMC_Max($R$4)-_xll.fMC_Min($R$4))/$Z$2+Y11</f>
        <v>267111.37496666657</v>
      </c>
      <c r="Z12" s="33">
        <f ca="1">(_xll.fMC_Max($R$4)-_xll.fMC_Min($R$4))/$Z$2+Y12</f>
        <v>662275.5662333332</v>
      </c>
      <c r="AA12" s="2">
        <f ca="1">(_xll.fMC_PercentileValue($R$4,Z12)-_xll.fMC_PercentileValue($R$4,Y12))*_xll.fMC_Iterations()</f>
        <v>38260.000000000007</v>
      </c>
      <c r="AB12" s="2">
        <f t="shared" ca="1" si="1"/>
        <v>72167</v>
      </c>
      <c r="AC12" s="4">
        <f t="shared" ca="1" si="0"/>
        <v>0.38260000000000005</v>
      </c>
      <c r="AD12" s="35">
        <f t="shared" ca="1" si="2"/>
        <v>0.72167000000000003</v>
      </c>
      <c r="AE12" s="2">
        <f ca="1">IF(AND(AD12&lt;_xll.fMC_Worst(),AD13&gt;=_xll.fMC_Worst()),MAX($AA$5:$AA$16),0)</f>
        <v>0</v>
      </c>
      <c r="AF12" s="2">
        <f ca="1">IF(AND(AD11&lt;_xll.fMC_Best(),AD12&gt;=_xll.fMC_Best()),MAX($AA$5:$AA$16),0)</f>
        <v>0</v>
      </c>
      <c r="AG12" s="2">
        <f ca="1">IF(AND(AD11&lt;_xll.fMC_Real(),AD12&gt;=_xll.fMC_Real()),MAX($AA$5:$AA$16),0)</f>
        <v>38260.000000000007</v>
      </c>
    </row>
    <row r="13" spans="1:33" x14ac:dyDescent="0.35">
      <c r="A13" s="2" t="s">
        <v>19</v>
      </c>
      <c r="F13" s="26">
        <f ca="1">_xll.FLOsimula_Uniforme(90,120,"Stückkosten")</f>
        <v>105</v>
      </c>
      <c r="Q13" s="34"/>
      <c r="R13" s="34"/>
      <c r="Y13" s="33">
        <f ca="1">(_xll.fMC_Max($R$4)-_xll.fMC_Min($R$4))/$Z$2+Y12</f>
        <v>662275.5662333332</v>
      </c>
      <c r="Z13" s="33">
        <f ca="1">(_xll.fMC_Max($R$4)-_xll.fMC_Min($R$4))/$Z$2+Y13</f>
        <v>1057439.7574999998</v>
      </c>
      <c r="AA13" s="2">
        <f ca="1">(_xll.fMC_PercentileValue($R$4,Z13)-_xll.fMC_PercentileValue($R$4,Y13))*_xll.fMC_Iterations()</f>
        <v>25637</v>
      </c>
      <c r="AB13" s="2">
        <f t="shared" ca="1" si="1"/>
        <v>97804</v>
      </c>
      <c r="AC13" s="4">
        <f t="shared" ca="1" si="0"/>
        <v>0.25636999999999999</v>
      </c>
      <c r="AD13" s="35">
        <f t="shared" ca="1" si="2"/>
        <v>0.97804000000000002</v>
      </c>
      <c r="AE13" s="2">
        <f ca="1">IF(AND(AD13&lt;_xll.fMC_Worst(),AD14&gt;=_xll.fMC_Worst()),MAX($AA$5:$AA$16),0)</f>
        <v>0</v>
      </c>
      <c r="AF13" s="2">
        <f ca="1">IF(AND(AD12&lt;_xll.fMC_Best(),AD13&gt;=_xll.fMC_Best()),MAX($AA$5:$AA$16),0)</f>
        <v>38260.000000000007</v>
      </c>
      <c r="AG13" s="2">
        <f ca="1">IF(AND(AD12&lt;_xll.fMC_Real(),AD13&gt;=_xll.fMC_Real()),MAX($AA$5:$AA$16),0)</f>
        <v>0</v>
      </c>
    </row>
    <row r="14" spans="1:33" x14ac:dyDescent="0.35">
      <c r="A14" s="2" t="s">
        <v>7</v>
      </c>
      <c r="D14" s="36"/>
      <c r="E14" s="36"/>
      <c r="F14" s="26">
        <f ca="1">_xll.FLOsimula_Uniforme(100000,450000,"Projektkosten")</f>
        <v>275000</v>
      </c>
      <c r="Y14" s="33">
        <f ca="1">(_xll.fMC_Max($R$4)-_xll.fMC_Min($R$4))/$Z$2+Y13</f>
        <v>1057439.7574999998</v>
      </c>
      <c r="Z14" s="33">
        <f ca="1">(_xll.fMC_Max($R$4)-_xll.fMC_Min($R$4))/$Z$2+Y14</f>
        <v>1452603.9487666665</v>
      </c>
      <c r="AA14" s="2">
        <f ca="1">(_xll.fMC_PercentileValue($R$4,Z14)-_xll.fMC_PercentileValue($R$4,Y14))*_xll.fMC_Iterations()</f>
        <v>2040.9999999999927</v>
      </c>
      <c r="AB14" s="2">
        <f t="shared" ca="1" si="1"/>
        <v>99845</v>
      </c>
      <c r="AC14" s="4">
        <f t="shared" ca="1" si="0"/>
        <v>2.0409999999999928E-2</v>
      </c>
      <c r="AD14" s="35">
        <f t="shared" ca="1" si="2"/>
        <v>0.99844999999999995</v>
      </c>
      <c r="AE14" s="2">
        <f ca="1">IF(AND(AD14&lt;_xll.fMC_Worst(),AD15&gt;=_xll.fMC_Worst()),MAX($AA$5:$AA$16),0)</f>
        <v>0</v>
      </c>
      <c r="AF14" s="2">
        <f ca="1">IF(AND(AD13&lt;_xll.fMC_Best(),AD14&gt;=_xll.fMC_Best()),MAX($AA$5:$AA$16),0)</f>
        <v>0</v>
      </c>
      <c r="AG14" s="2">
        <f ca="1">IF(AND(AD13&lt;_xll.fMC_Real(),AD14&gt;=_xll.fMC_Real()),MAX($AA$5:$AA$16),0)</f>
        <v>0</v>
      </c>
    </row>
    <row r="15" spans="1:33" x14ac:dyDescent="0.35">
      <c r="A15" s="2" t="s">
        <v>8</v>
      </c>
      <c r="F15" s="8">
        <f ca="1">_xll.FLOsimula_Uniforme(0.07,0.12,"workingcapital")</f>
        <v>9.5000000000000001E-2</v>
      </c>
      <c r="Q15" s="30" t="s">
        <v>52</v>
      </c>
      <c r="S15" s="31"/>
      <c r="Y15" s="33">
        <f ca="1">(_xll.fMC_Max($R$4)-_xll.fMC_Min($R$4))/$Z$2+Y14</f>
        <v>1452603.9487666665</v>
      </c>
      <c r="Z15" s="33">
        <f ca="1">(_xll.fMC_Max($R$4)-_xll.fMC_Min($R$4))/$Z$2+Y15</f>
        <v>1847768.1400333331</v>
      </c>
      <c r="AA15" s="2">
        <f ca="1">(_xll.fMC_PercentileValue($R$4,Z15)-_xll.fMC_PercentileValue($R$4,Y15))*_xll.fMC_Iterations()</f>
        <v>75.000000000002842</v>
      </c>
      <c r="AB15" s="2">
        <f t="shared" ca="1" si="1"/>
        <v>99920</v>
      </c>
      <c r="AC15" s="4">
        <f t="shared" ca="1" si="0"/>
        <v>7.5000000000002842E-4</v>
      </c>
      <c r="AD15" s="35">
        <f t="shared" ca="1" si="2"/>
        <v>0.99919999999999998</v>
      </c>
      <c r="AE15" s="2">
        <f ca="1">IF(AND(AD15&lt;_xll.fMC_Worst(),AD16&gt;=_xll.fMC_Worst()),MAX($AA$5:$AA$16),0)</f>
        <v>0</v>
      </c>
      <c r="AF15" s="2">
        <f ca="1">IF(AND(AD14&lt;_xll.fMC_Best(),AD15&gt;=_xll.fMC_Best()),MAX($AA$5:$AA$16),0)</f>
        <v>0</v>
      </c>
      <c r="AG15" s="2">
        <f ca="1">IF(AND(AD14&lt;_xll.fMC_Real(),AD15&gt;=_xll.fMC_Real()),MAX($AA$5:$AA$16),0)</f>
        <v>0</v>
      </c>
    </row>
    <row r="16" spans="1:33" x14ac:dyDescent="0.35">
      <c r="A16" s="2" t="s">
        <v>9</v>
      </c>
      <c r="F16" s="8">
        <f ca="1">_xll.FLOsimula_Uniforme(0.02,0.08,"Kostenwachstum")</f>
        <v>0.05</v>
      </c>
      <c r="Y16" s="33">
        <f ca="1">(_xll.fMC_Max($R$4)-_xll.fMC_Min($R$4))/$Z$2+Y15</f>
        <v>1847768.1400333331</v>
      </c>
      <c r="Z16" s="33">
        <f ca="1">(_xll.fMC_Max($R$4)-_xll.fMC_Min($R$4))/$Z$2+Y16</f>
        <v>2242932.3312999997</v>
      </c>
      <c r="AA16" s="2">
        <f ca="1">_xll.fMC_Iterations()-SUM(AA5:AA15)</f>
        <v>80</v>
      </c>
      <c r="AB16" s="2">
        <f t="shared" ca="1" si="1"/>
        <v>100000</v>
      </c>
      <c r="AC16" s="4">
        <f t="shared" ca="1" si="0"/>
        <v>8.0000000000000004E-4</v>
      </c>
      <c r="AD16" s="35">
        <f t="shared" ca="1" si="2"/>
        <v>1</v>
      </c>
      <c r="AE16" s="2">
        <f ca="1">IF(AND(AD16&lt;_xll.fMC_Worst(),AD17&gt;=_xll.fMC_Worst()),MAX($AA$5:$AA$16),0)</f>
        <v>0</v>
      </c>
      <c r="AF16" s="2">
        <f ca="1">IF(AND(AD15&lt;_xll.fMC_Best(),AD16&gt;=_xll.fMC_Best()),MAX($AA$5:$AA$16),0)</f>
        <v>0</v>
      </c>
      <c r="AG16" s="2">
        <f ca="1">IF(AND(AD15&lt;_xll.fMC_Real(),AD16&gt;=_xll.fMC_Real()),MAX($AA$5:$AA$16),0)</f>
        <v>0</v>
      </c>
    </row>
    <row r="17" spans="1:19" x14ac:dyDescent="0.35">
      <c r="A17" s="2" t="s">
        <v>12</v>
      </c>
      <c r="F17" s="37">
        <f ca="1">_xll.FLOsimula_DiscreteUniform(0,2,"Störfaktor")</f>
        <v>1</v>
      </c>
      <c r="Q17" s="2" t="str">
        <f ca="1">_xll.fMC_CorrRankN($R$4,1)</f>
        <v>Störfaktor</v>
      </c>
      <c r="R17" s="40">
        <f ca="1">_xll.fMC_CorrRank($R$4,1)</f>
        <v>-0.92576394398909512</v>
      </c>
      <c r="S17" s="40"/>
    </row>
    <row r="18" spans="1:19" x14ac:dyDescent="0.35">
      <c r="A18" s="2" t="s">
        <v>21</v>
      </c>
      <c r="F18" s="26">
        <f ca="1">_xll.FLOsimula_Normal(IF(F1=1,20000,2000),IF(F1=1,400,20),"Outside")</f>
        <v>20000</v>
      </c>
      <c r="Q18" s="2" t="str">
        <f ca="1">_xll.fMC_CorrRankN($R$4,2)</f>
        <v>Stückkosten</v>
      </c>
      <c r="R18" s="40">
        <f ca="1">_xll.fMC_CorrRank($R$4,2)</f>
        <v>-0.10130173062426634</v>
      </c>
      <c r="S18" s="40"/>
    </row>
    <row r="19" spans="1:19" ht="15.75" customHeight="1" x14ac:dyDescent="0.35">
      <c r="A19" s="2" t="s">
        <v>32</v>
      </c>
      <c r="D19" s="16"/>
      <c r="F19" s="8">
        <f ca="1">_xll.FLOsimula_Uniforme(0.3,0.55,"Anteil_nai")</f>
        <v>0.42500000000000004</v>
      </c>
      <c r="Q19" s="2" t="str">
        <f ca="1">_xll.fMC_CorrRankN($R$4,3)</f>
        <v>Menge</v>
      </c>
      <c r="R19" s="40">
        <f ca="1">_xll.fMC_CorrRank($R$4,3)</f>
        <v>8.1460946302023649E-2</v>
      </c>
      <c r="S19" s="40"/>
    </row>
    <row r="20" spans="1:19" x14ac:dyDescent="0.35">
      <c r="A20" s="2" t="s">
        <v>62</v>
      </c>
      <c r="F20" s="6">
        <f ca="1">_xll.FLOsimula_Bernoulli(0.01,"Konkurrrent_Pleite")</f>
        <v>0.01</v>
      </c>
    </row>
    <row r="21" spans="1:19" x14ac:dyDescent="0.35">
      <c r="A21" s="3" t="s">
        <v>22</v>
      </c>
      <c r="B21" s="3"/>
      <c r="C21" s="3"/>
      <c r="D21" s="3"/>
      <c r="E21" s="3"/>
      <c r="F21" s="3"/>
    </row>
    <row r="22" spans="1:19" ht="15" customHeight="1" x14ac:dyDescent="0.35">
      <c r="A22" s="2" t="s">
        <v>34</v>
      </c>
      <c r="F22" s="39">
        <f ca="1">+_xll.FLOsimula_correlacion("Menge","Stückkosten",-0.8,0)</f>
        <v>-0.8</v>
      </c>
      <c r="Q22" s="2" t="s">
        <v>53</v>
      </c>
      <c r="S22" s="2">
        <f ca="1">ROUND(_xll.fMC_Iterations(),0)</f>
        <v>100000</v>
      </c>
    </row>
    <row r="23" spans="1:19" x14ac:dyDescent="0.35">
      <c r="A23" s="2" t="s">
        <v>33</v>
      </c>
      <c r="C23" s="1"/>
      <c r="D23" s="1"/>
      <c r="E23" s="1"/>
      <c r="F23" s="39">
        <f ca="1">+_xll.FLOsimula_correlacion("Projektkosten","Anteil_nai",0.9,0)</f>
        <v>0.9</v>
      </c>
    </row>
    <row r="24" spans="1:19" x14ac:dyDescent="0.35">
      <c r="C24" s="9"/>
      <c r="D24" s="9"/>
      <c r="E24" s="9"/>
      <c r="F24" s="9"/>
    </row>
    <row r="25" spans="1:19" ht="29" customHeight="1" x14ac:dyDescent="0.35">
      <c r="A25" s="3" t="s">
        <v>23</v>
      </c>
      <c r="B25" s="3"/>
      <c r="C25" s="3"/>
      <c r="D25" s="3"/>
      <c r="E25" s="3"/>
      <c r="F25" s="3"/>
      <c r="Q25" s="41" t="str">
        <f>"WS, dass "&amp;R4 &amp;" grösser als 132 MCHF beträgt"</f>
        <v>WS, dass OCF grösser als 132 MCHF beträgt</v>
      </c>
      <c r="S25" s="42">
        <f ca="1">1-_xll.fMC_PercentileValue(R4,132000)</f>
        <v>0.66765999999999992</v>
      </c>
    </row>
    <row r="26" spans="1:19" x14ac:dyDescent="0.35">
      <c r="B26" s="10"/>
      <c r="C26" s="10"/>
      <c r="D26" s="10"/>
      <c r="Q26" s="41"/>
    </row>
    <row r="27" spans="1:19" x14ac:dyDescent="0.35">
      <c r="A27" s="11" t="s">
        <v>20</v>
      </c>
      <c r="B27" s="11">
        <f ca="1">C27-1</f>
        <v>2019</v>
      </c>
      <c r="C27" s="11">
        <f ca="1">YEAR(TODAY())+1</f>
        <v>2020</v>
      </c>
      <c r="D27" s="11">
        <f ca="1">C27+1</f>
        <v>2021</v>
      </c>
      <c r="E27" s="11">
        <f t="shared" ref="E27:F27" ca="1" si="3">D27+1</f>
        <v>2022</v>
      </c>
      <c r="F27" s="11">
        <f t="shared" ca="1" si="3"/>
        <v>2023</v>
      </c>
    </row>
    <row r="28" spans="1:19" x14ac:dyDescent="0.35">
      <c r="A28" s="2" t="s">
        <v>24</v>
      </c>
      <c r="B28" s="12"/>
      <c r="C28" s="13">
        <f ca="1">F9*F5</f>
        <v>410000</v>
      </c>
      <c r="D28" s="13">
        <f ca="1">C28*(1+$F$10)</f>
        <v>412733.33333333331</v>
      </c>
      <c r="E28" s="13">
        <f ca="1">D28*(1+FLO_i_Wachstum_2019)</f>
        <v>414797.20636666665</v>
      </c>
      <c r="F28" s="13">
        <f ca="1">E28*(1+F12)</f>
        <v>421641.36027171661</v>
      </c>
      <c r="Q28" s="2" t="s">
        <v>63</v>
      </c>
    </row>
    <row r="29" spans="1:19" x14ac:dyDescent="0.35">
      <c r="A29" s="2" t="s">
        <v>25</v>
      </c>
      <c r="B29" s="12">
        <f ca="1">-FLO_i_Projektkosten*FLO_i_Anteil_nai</f>
        <v>-116875.00000000001</v>
      </c>
      <c r="C29" s="13">
        <f ca="1">-F13*FLO_i_Menge</f>
        <v>-215250</v>
      </c>
      <c r="D29" s="13">
        <f ca="1">IF(FLO_i_Störfaktor&lt;&gt;0,C29*(1+$F$16)*FLO_i_Störfaktor,-FLO_i_Outside)</f>
        <v>-226012.5</v>
      </c>
      <c r="E29" s="13">
        <f ca="1">IF(FLO_i_Störfaktor&lt;&gt;0,D29*(1+$F$16)*FLO_i_Störfaktor,-FLO_i_Outside)</f>
        <v>-237313.125</v>
      </c>
      <c r="F29" s="13">
        <f ca="1">IF(FLO_i_Störfaktor&lt;&gt;0,E29*(1+$F$16)*FLO_i_Störfaktor,-FLO_i_Outside)</f>
        <v>-249178.78125</v>
      </c>
    </row>
    <row r="30" spans="1:19" x14ac:dyDescent="0.35">
      <c r="A30" s="2" t="s">
        <v>26</v>
      </c>
      <c r="B30" s="14"/>
      <c r="C30" s="15">
        <f ca="1">($F$14*(1-FLO_i_Anteil_nai)*-0.25)</f>
        <v>-39531.25</v>
      </c>
      <c r="D30" s="15">
        <f ca="1">($F$14*(1-FLO_i_Anteil_nai)*-0.25)</f>
        <v>-39531.25</v>
      </c>
      <c r="E30" s="15">
        <f ca="1">($F$14*(1-FLO_i_Anteil_nai)*-0.25)</f>
        <v>-39531.25</v>
      </c>
      <c r="F30" s="15">
        <f ca="1">($F$14*(1-FLO_i_Anteil_nai)*-0.25)</f>
        <v>-39531.25</v>
      </c>
      <c r="M30" s="16"/>
    </row>
    <row r="31" spans="1:19" x14ac:dyDescent="0.35">
      <c r="A31" s="2" t="s">
        <v>0</v>
      </c>
      <c r="B31" s="13">
        <f ca="1">SUM(B28:B30)</f>
        <v>-116875.00000000001</v>
      </c>
      <c r="C31" s="13">
        <f ca="1">SUM(C28:C30)</f>
        <v>155218.75</v>
      </c>
      <c r="D31" s="13">
        <f ca="1">SUM(D28:D30)</f>
        <v>147189.58333333331</v>
      </c>
      <c r="E31" s="13">
        <f ca="1">SUM(E28:E30)</f>
        <v>137952.83136666665</v>
      </c>
      <c r="F31" s="13">
        <f ca="1">SUM(F28:F30)</f>
        <v>132931.32902171661</v>
      </c>
    </row>
    <row r="32" spans="1:19" x14ac:dyDescent="0.35">
      <c r="A32" s="2" t="s">
        <v>27</v>
      </c>
      <c r="B32" s="15">
        <f ca="1">0*B31</f>
        <v>0</v>
      </c>
      <c r="C32" s="15">
        <f t="shared" ref="C32:F32" ca="1" si="4">0*C31</f>
        <v>0</v>
      </c>
      <c r="D32" s="15">
        <f t="shared" ca="1" si="4"/>
        <v>0</v>
      </c>
      <c r="E32" s="15">
        <f t="shared" ca="1" si="4"/>
        <v>0</v>
      </c>
      <c r="F32" s="15">
        <f t="shared" ca="1" si="4"/>
        <v>0</v>
      </c>
    </row>
    <row r="33" spans="1:18" hidden="1" x14ac:dyDescent="0.35">
      <c r="A33" s="2" t="s">
        <v>4</v>
      </c>
      <c r="B33" s="13">
        <f ca="1">SUM(B31:B32)</f>
        <v>-116875.00000000001</v>
      </c>
      <c r="C33" s="13">
        <f ca="1">SUM(C31:C32)</f>
        <v>155218.75</v>
      </c>
      <c r="D33" s="13">
        <f t="shared" ref="D33:F33" ca="1" si="5">SUM(D31:D32)</f>
        <v>147189.58333333331</v>
      </c>
      <c r="E33" s="13">
        <f t="shared" ca="1" si="5"/>
        <v>137952.83136666665</v>
      </c>
      <c r="F33" s="13">
        <f t="shared" ca="1" si="5"/>
        <v>132931.32902171661</v>
      </c>
    </row>
    <row r="34" spans="1:18" x14ac:dyDescent="0.35">
      <c r="A34" s="2" t="s">
        <v>26</v>
      </c>
      <c r="B34" s="15"/>
      <c r="C34" s="15">
        <f ca="1">-C30</f>
        <v>39531.25</v>
      </c>
      <c r="D34" s="15">
        <f t="shared" ref="D34:F34" ca="1" si="6">-D30</f>
        <v>39531.25</v>
      </c>
      <c r="E34" s="15">
        <f t="shared" ca="1" si="6"/>
        <v>39531.25</v>
      </c>
      <c r="F34" s="15">
        <f t="shared" ca="1" si="6"/>
        <v>39531.25</v>
      </c>
      <c r="M34" s="16"/>
    </row>
    <row r="35" spans="1:18" x14ac:dyDescent="0.35">
      <c r="A35" s="2" t="s">
        <v>1</v>
      </c>
      <c r="B35" s="13">
        <f ca="1">SUM(B33:B34)</f>
        <v>-116875.00000000001</v>
      </c>
      <c r="C35" s="13">
        <f ca="1">SUM(C33:C34)</f>
        <v>194750</v>
      </c>
      <c r="D35" s="13">
        <f t="shared" ref="D35:F35" ca="1" si="7">SUM(D33:D34)</f>
        <v>186720.83333333331</v>
      </c>
      <c r="E35" s="13">
        <f t="shared" ca="1" si="7"/>
        <v>177484.08136666665</v>
      </c>
      <c r="F35" s="13">
        <f t="shared" ca="1" si="7"/>
        <v>172462.57902171661</v>
      </c>
    </row>
    <row r="36" spans="1:18" x14ac:dyDescent="0.35">
      <c r="A36" s="2" t="s">
        <v>28</v>
      </c>
      <c r="B36" s="13">
        <f ca="1">-F14*(1-FLO_i_Anteil_nai)</f>
        <v>-158125</v>
      </c>
      <c r="C36" s="13"/>
      <c r="D36" s="13"/>
      <c r="E36" s="13"/>
      <c r="F36" s="13"/>
    </row>
    <row r="37" spans="1:18" x14ac:dyDescent="0.35">
      <c r="A37" s="17" t="s">
        <v>3</v>
      </c>
      <c r="B37" s="18"/>
      <c r="C37" s="18"/>
      <c r="D37" s="18"/>
      <c r="E37" s="18"/>
      <c r="F37" s="18">
        <v>0</v>
      </c>
    </row>
    <row r="38" spans="1:18" s="21" customFormat="1" hidden="1" x14ac:dyDescent="0.35">
      <c r="A38" s="19" t="s">
        <v>2</v>
      </c>
      <c r="B38" s="20">
        <f ca="1">$F$15*C28</f>
        <v>38950</v>
      </c>
      <c r="C38" s="20">
        <f ca="1">$F$15*D28</f>
        <v>39209.666666666664</v>
      </c>
      <c r="D38" s="20">
        <f ca="1">$F$15*E28</f>
        <v>39405.734604833335</v>
      </c>
      <c r="E38" s="20">
        <f ca="1">$F$15*F28</f>
        <v>40055.929225813081</v>
      </c>
      <c r="F38" s="20">
        <f ca="1">$F$15*G28</f>
        <v>0</v>
      </c>
      <c r="Q38" s="2"/>
      <c r="R38" s="2"/>
    </row>
    <row r="39" spans="1:18" x14ac:dyDescent="0.35">
      <c r="A39" s="2" t="s">
        <v>29</v>
      </c>
      <c r="B39" s="15">
        <f ca="1">-(B38-0)</f>
        <v>-38950</v>
      </c>
      <c r="C39" s="15">
        <f ca="1">-(C38-B38)</f>
        <v>-259.66666666666424</v>
      </c>
      <c r="D39" s="15">
        <f t="shared" ref="D39:F39" ca="1" si="8">-(D38-C38)</f>
        <v>-196.0679381666705</v>
      </c>
      <c r="E39" s="15">
        <f t="shared" ca="1" si="8"/>
        <v>-650.19462097974611</v>
      </c>
      <c r="F39" s="15">
        <f t="shared" ca="1" si="8"/>
        <v>40055.929225813081</v>
      </c>
    </row>
    <row r="40" spans="1:18" x14ac:dyDescent="0.35">
      <c r="A40" s="2" t="s">
        <v>30</v>
      </c>
      <c r="B40" s="13">
        <f ca="1">SUM(B36,B35,B37,B39)</f>
        <v>-313950</v>
      </c>
      <c r="C40" s="13">
        <f t="shared" ref="C40:F40" ca="1" si="9">SUM(C36,C35,C37,C39)</f>
        <v>194490.33333333334</v>
      </c>
      <c r="D40" s="13">
        <f t="shared" ca="1" si="9"/>
        <v>186524.76539516664</v>
      </c>
      <c r="E40" s="13">
        <f t="shared" ca="1" si="9"/>
        <v>176833.8867456869</v>
      </c>
      <c r="F40" s="13">
        <f t="shared" ca="1" si="9"/>
        <v>212518.50824752968</v>
      </c>
    </row>
    <row r="41" spans="1:18" x14ac:dyDescent="0.35">
      <c r="B41" s="12"/>
      <c r="C41" s="12"/>
      <c r="D41" s="12"/>
      <c r="E41" s="12"/>
      <c r="F41" s="12"/>
      <c r="I41" s="27"/>
    </row>
    <row r="42" spans="1:18" x14ac:dyDescent="0.35">
      <c r="A42" s="3" t="s">
        <v>31</v>
      </c>
      <c r="B42" s="3"/>
      <c r="C42" s="3"/>
      <c r="D42" s="3"/>
      <c r="E42" s="3"/>
      <c r="F42" s="3"/>
    </row>
    <row r="43" spans="1:18" x14ac:dyDescent="0.35">
      <c r="A43" s="22" t="s">
        <v>5</v>
      </c>
      <c r="F43" s="23">
        <f ca="1">B40+NPV(F4,C40:F40)+_xll.FLOsimula_output("NPV")</f>
        <v>368057.61230447993</v>
      </c>
      <c r="I43" s="38"/>
    </row>
    <row r="44" spans="1:18" x14ac:dyDescent="0.35">
      <c r="A44" s="22" t="s">
        <v>0</v>
      </c>
      <c r="C44" s="24"/>
      <c r="F44" s="23">
        <f ca="1">SUM(B31:F31)+_xll.FLOsimula_output("EBIT")</f>
        <v>456417.49372171657</v>
      </c>
    </row>
    <row r="45" spans="1:18" x14ac:dyDescent="0.35">
      <c r="A45" s="22" t="s">
        <v>10</v>
      </c>
      <c r="F45" s="23">
        <f ca="1">SUM(B40:F40)+_xll.FLOsimula_output("FCF")</f>
        <v>456417.49372171657</v>
      </c>
    </row>
    <row r="46" spans="1:18" x14ac:dyDescent="0.35">
      <c r="A46" s="22" t="s">
        <v>11</v>
      </c>
      <c r="F46" s="23">
        <f ca="1">SUM(C29:F29)+_xll.FLOsimula_output("COGS")</f>
        <v>-927754.40625</v>
      </c>
    </row>
    <row r="47" spans="1:18" x14ac:dyDescent="0.35">
      <c r="A47" s="22" t="s">
        <v>13</v>
      </c>
      <c r="F47" s="23">
        <f ca="1">SUM(C35:F35)+_xll.FLOsimula_output("OCF")</f>
        <v>731417.49372171657</v>
      </c>
    </row>
    <row r="48" spans="1:18" x14ac:dyDescent="0.35">
      <c r="A48" s="22"/>
      <c r="F48" s="25"/>
    </row>
    <row r="49" spans="1:6" x14ac:dyDescent="0.35">
      <c r="A49" s="3" t="s">
        <v>61</v>
      </c>
      <c r="B49" s="3"/>
      <c r="C49" s="3"/>
      <c r="D49" s="3"/>
      <c r="E49" s="3"/>
      <c r="F49" s="3"/>
    </row>
    <row r="50" spans="1:6" x14ac:dyDescent="0.35">
      <c r="A50" s="2" t="s">
        <v>56</v>
      </c>
      <c r="B50" s="2" t="s">
        <v>60</v>
      </c>
      <c r="C50" s="2" t="s">
        <v>57</v>
      </c>
      <c r="F50" s="36"/>
    </row>
    <row r="51" spans="1:6" x14ac:dyDescent="0.35">
      <c r="A51" s="2" t="s">
        <v>58</v>
      </c>
      <c r="B51" s="2">
        <v>1</v>
      </c>
      <c r="C51" s="2">
        <f>F1</f>
        <v>1</v>
      </c>
    </row>
    <row r="52" spans="1:6" x14ac:dyDescent="0.35">
      <c r="A52" s="2" t="s">
        <v>59</v>
      </c>
      <c r="B52" s="2">
        <v>0</v>
      </c>
      <c r="C52" s="2">
        <f>F1</f>
        <v>1</v>
      </c>
    </row>
  </sheetData>
  <mergeCells count="4">
    <mergeCell ref="R17:S17"/>
    <mergeCell ref="R18:S18"/>
    <mergeCell ref="R19:S19"/>
    <mergeCell ref="Q25:Q26"/>
  </mergeCells>
  <conditionalFormatting sqref="R17:R1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{D456C494-DB58-4B1F-86E1-B23D38FF0D49}</x14:id>
        </ext>
      </extLst>
    </cfRule>
  </conditionalFormatting>
  <dataValidations count="1">
    <dataValidation type="list" allowBlank="1" showInputMessage="1" showErrorMessage="1" sqref="R4" xr:uid="{5ADA3BB1-7C15-40E0-9EC5-1F8766141692}">
      <formula1>Outputs</formula1>
    </dataValidation>
  </dataValidations>
  <pageMargins left="0.7" right="0.7" top="0.75" bottom="0.75" header="0.3" footer="0.3"/>
  <pageSetup orientation="landscape" r:id="rId1"/>
  <ignoredErrors>
    <ignoredError sqref="C34:F34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456C494-DB58-4B1F-86E1-B23D38FF0D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R17:R19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20</vt:i4>
      </vt:variant>
    </vt:vector>
  </HeadingPairs>
  <TitlesOfParts>
    <vt:vector size="21" baseType="lpstr">
      <vt:lpstr>Beispiel other me</vt:lpstr>
      <vt:lpstr>FLO_c_Menge_Stückkosten</vt:lpstr>
      <vt:lpstr>FLO_c_Projektkosten_Anteil_nai</vt:lpstr>
      <vt:lpstr>FLO_i_Anteil_nai</vt:lpstr>
      <vt:lpstr>FLO_i_Konkurrrent_Pleite</vt:lpstr>
      <vt:lpstr>FLO_i_Kostenwachstum</vt:lpstr>
      <vt:lpstr>FLO_i_Menge</vt:lpstr>
      <vt:lpstr>FLO_i_Outside</vt:lpstr>
      <vt:lpstr>FLO_i_Projektkosten</vt:lpstr>
      <vt:lpstr>FLO_i_Störfaktor</vt:lpstr>
      <vt:lpstr>FLO_i_Stückkosten</vt:lpstr>
      <vt:lpstr>FLO_i_Wachstum</vt:lpstr>
      <vt:lpstr>FLO_i_Wachstum_2019</vt:lpstr>
      <vt:lpstr>FLO_i_Wachstum_2020</vt:lpstr>
      <vt:lpstr>FLO_i_workingcapital</vt:lpstr>
      <vt:lpstr>FLO_o_COGS</vt:lpstr>
      <vt:lpstr>FLO_o_EBIT</vt:lpstr>
      <vt:lpstr>FLO_o_FCF</vt:lpstr>
      <vt:lpstr>FLO_o_NPV</vt:lpstr>
      <vt:lpstr>FLO_o_OCF</vt:lpstr>
      <vt:lpstr>Outputs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 gonzalez</dc:creator>
  <cp:lastModifiedBy>florentin gonzalez</cp:lastModifiedBy>
  <cp:lastPrinted>2013-05-16T21:10:48Z</cp:lastPrinted>
  <dcterms:created xsi:type="dcterms:W3CDTF">2012-10-29T16:35:22Z</dcterms:created>
  <dcterms:modified xsi:type="dcterms:W3CDTF">2019-07-29T19:00:51Z</dcterms:modified>
</cp:coreProperties>
</file>